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S 2021.09.30\"/>
    </mc:Choice>
  </mc:AlternateContent>
  <bookViews>
    <workbookView xWindow="0" yWindow="0" windowWidth="28800" windowHeight="11700"/>
  </bookViews>
  <sheets>
    <sheet name="BS" sheetId="1" r:id="rId1"/>
    <sheet name="Incom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C15" i="2" l="1"/>
  <c r="C16" i="2"/>
  <c r="C20" i="2"/>
  <c r="C19" i="2"/>
  <c r="C11" i="2"/>
  <c r="C13" i="2"/>
  <c r="C12" i="2"/>
  <c r="C9" i="2"/>
  <c r="C8" i="2"/>
  <c r="C35" i="1"/>
  <c r="C33" i="1"/>
  <c r="C36" i="1"/>
  <c r="C32" i="1"/>
  <c r="C31" i="1"/>
  <c r="C18" i="1"/>
  <c r="C17" i="1"/>
  <c r="C16" i="1"/>
  <c r="C12" i="1"/>
  <c r="C19" i="1" l="1"/>
  <c r="C21" i="1" s="1"/>
  <c r="C37" i="1"/>
  <c r="C28" i="1"/>
  <c r="D25" i="2" l="1"/>
  <c r="D23" i="2"/>
  <c r="D22" i="2"/>
  <c r="D20" i="2"/>
  <c r="D19" i="2"/>
  <c r="D16" i="2"/>
  <c r="D17" i="2" s="1"/>
  <c r="D12" i="2"/>
  <c r="D11" i="2"/>
  <c r="D9" i="2"/>
  <c r="D8" i="2"/>
  <c r="D31" i="1"/>
  <c r="D28" i="1"/>
  <c r="D39" i="1" s="1"/>
  <c r="D37" i="1"/>
  <c r="C39" i="1"/>
  <c r="D10" i="2" l="1"/>
  <c r="D13" i="2" s="1"/>
  <c r="D24" i="2" s="1"/>
  <c r="D26" i="2" s="1"/>
  <c r="C10" i="2"/>
  <c r="C17" i="2"/>
  <c r="C24" i="2" l="1"/>
  <c r="C26" i="2" s="1"/>
</calcChain>
</file>

<file path=xl/sharedStrings.xml><?xml version="1.0" encoding="utf-8"?>
<sst xmlns="http://schemas.openxmlformats.org/spreadsheetml/2006/main" count="53" uniqueCount="50">
  <si>
    <t>ХӨРӨНГӨ</t>
  </si>
  <si>
    <t>Мян.төг</t>
  </si>
  <si>
    <t>Эргэлтийн бус хөрөнгө</t>
  </si>
  <si>
    <t>Үндсэн хөрөнгө</t>
  </si>
  <si>
    <t>Биет бус хөрөнгө</t>
  </si>
  <si>
    <t>Эргэлтийн хөрөнгө</t>
  </si>
  <si>
    <t>Хадгаламж, үнэт цаас</t>
  </si>
  <si>
    <t>Давхар даатгалын хойшлогдсон хураамж</t>
  </si>
  <si>
    <t>Урьдчилж төлсөн зардал болон бусад авлага</t>
  </si>
  <si>
    <t>Даатгалын хураамжийн авлага</t>
  </si>
  <si>
    <t>Мөнгө, түүнтэй адилтгах хөрөнгө</t>
  </si>
  <si>
    <t>НИЙТ ХӨРӨНГӨ</t>
  </si>
  <si>
    <t>ӨР ТӨЛБӨР БА ЭЗДИЙН ӨМЧ</t>
  </si>
  <si>
    <t>Эздийн өмч</t>
  </si>
  <si>
    <t>Эзэмшигчдийн өмч</t>
  </si>
  <si>
    <t>Эздийн өмчийн бусад хэсэг</t>
  </si>
  <si>
    <t>Алдагдлаас хамгаалах нөөц сан</t>
  </si>
  <si>
    <t>Хуримтлагдсан ашиг</t>
  </si>
  <si>
    <t>Нийт эздийн өмч</t>
  </si>
  <si>
    <t>Өр төлбөр</t>
  </si>
  <si>
    <t>Хамтийн эрсдлийн сан</t>
  </si>
  <si>
    <t>Эрсдлээс хамгаалах нөөц сан</t>
  </si>
  <si>
    <t>Орлогод тооцоогүй хураамжийн нөөц</t>
  </si>
  <si>
    <t>Урьдчилж олсон орлого болон бусад өглөг</t>
  </si>
  <si>
    <t>Давхар даатгагчид өгөх өглөг</t>
  </si>
  <si>
    <t>Нийт өр төлбөр</t>
  </si>
  <si>
    <t>НИЙТ ӨР ТӨЛБӨР БА ЭЗДИЙН ӨМЧ</t>
  </si>
  <si>
    <t>Даатгалын хураамжийн орлого</t>
  </si>
  <si>
    <t>Даатгалын цэвэр хураамжийн орлого</t>
  </si>
  <si>
    <t>Нийт төлсөн нөхөн төлбөр</t>
  </si>
  <si>
    <t>Нөөц сангийн өөрчлөлт</t>
  </si>
  <si>
    <t>Нөхөн төлбөрийн цэвэр зардал</t>
  </si>
  <si>
    <t>Хөрөнгө оруулалтын орлого</t>
  </si>
  <si>
    <t>Үндсэн бус үйл ажиллагааны орлого</t>
  </si>
  <si>
    <t>Үйл ажиллагаа, ерөнхий удирдлагын зардал</t>
  </si>
  <si>
    <t>Татвар төлөхийн өмнөх ашиг</t>
  </si>
  <si>
    <t>Орлогын татварын зардал</t>
  </si>
  <si>
    <t>Татварын дараах ашиг</t>
  </si>
  <si>
    <t>Орлогод тооцсон хураамж</t>
  </si>
  <si>
    <t>ААНОАТатварын өглөг</t>
  </si>
  <si>
    <t>ҮНДЭСНИЙ ДАВХАР ДААТГАЛ ХК</t>
  </si>
  <si>
    <t>Нийт эргэлтийн бус хөрөнгө</t>
  </si>
  <si>
    <t>Нийт эргэлтийн хөрөнгө</t>
  </si>
  <si>
    <t>Давхар даатгалын хураамж, буцаалт</t>
  </si>
  <si>
    <t xml:space="preserve"> Орлогод тооцоогүй хураамжийн нөөц сангийн өөрчлөлт </t>
  </si>
  <si>
    <t xml:space="preserve"> ДД-н хойшлогдсон хураамжийн өөрчлөлт</t>
  </si>
  <si>
    <t>Үндсэн бус үйл ажиллагааны ашиг/алдагдал</t>
  </si>
  <si>
    <t>(Мян.төг)</t>
  </si>
  <si>
    <t>2021 ОНЫ 09 ДУГААР САРЫН 30-НИЙ ӨДРӨӨРХ САНХҮҮГИЙН БАЙДЛЫН ТАЙЛАН</t>
  </si>
  <si>
    <t>2021 ОНЫ 09 ДУГААР САРЫН 30-НИЙ ӨДРӨӨР ДУУСГАВАР БОЛСОН УЛИРАЛЫН АШИГ, АЛДАГДАЛ БА БУСАД ДЭЛГЭРЭНГҮЙ ОРЛОГЫН ТАЙЛАН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</si>
</sst>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8">
    <font>
      <sz val="11"/>
      <color theme="1"/>
      <name val="Calibri"/>
      <family val="2"/>
      <charset val="1"/>
      <scheme val="minor"/>
    </font>
    <font>
      <sz val="11"/>
      <color theme="1"/>
      <name val="Times New Roman Mon"/>
      <family val="1"/>
    </font>
    <font>
      <b/>
      <sz val="11"/>
      <color theme="1"/>
      <name val="Times New Roman Mo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Times New Roman Mon"/>
    </font>
    <font>
      <sz val="11"/>
      <color theme="1"/>
      <name val="Calibri"/>
      <family val="2"/>
      <charset val="1"/>
      <scheme val="minor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Border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3" fontId="5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165" fontId="3" fillId="0" borderId="3" xfId="1" applyNumberFormat="1" applyFont="1" applyBorder="1" applyAlignment="1">
      <alignment horizontal="right"/>
    </xf>
    <xf numFmtId="165" fontId="1" fillId="0" borderId="0" xfId="1" applyNumberFormat="1" applyFont="1" applyAlignment="1">
      <alignment horizontal="right"/>
    </xf>
    <xf numFmtId="165" fontId="2" fillId="0" borderId="1" xfId="1" applyNumberFormat="1" applyFont="1" applyBorder="1" applyAlignment="1">
      <alignment horizontal="right"/>
    </xf>
    <xf numFmtId="3" fontId="1" fillId="0" borderId="0" xfId="0" applyNumberFormat="1" applyFont="1"/>
    <xf numFmtId="165" fontId="3" fillId="0" borderId="0" xfId="1" applyNumberFormat="1" applyFont="1" applyBorder="1" applyAlignment="1">
      <alignment horizontal="right"/>
    </xf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0" xfId="2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Normal 160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ronzonbold/Desktop/BS%202021.03.31%20MONGOLIANRE/BS2021-1Q%20&#1198;&#1044;&#1044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 маягт нүүр"/>
      <sheetName val="Б маягт мэдээлэл"/>
      <sheetName val="BS"/>
      <sheetName val="BS-1"/>
      <sheetName val="Orlogiin tailan"/>
      <sheetName val="UUTailan-1"/>
      <sheetName val="UUTailan"/>
      <sheetName val="MGYIL"/>
      <sheetName val=" AANOATT "/>
      <sheetName val="AANOAT zardal"/>
      <sheetName val="zuruugiin tailan"/>
      <sheetName val="ХХОАТ suutgan"/>
      <sheetName val="ХХОАТ суутган-1"/>
      <sheetName val="ХХОАТ"/>
      <sheetName val="ХХОАТ задаргаа"/>
      <sheetName val="СЗХ04105"/>
      <sheetName val="СЗХ04106"/>
      <sheetName val="СЗХ04132"/>
      <sheetName val="СЗХ04133"/>
      <sheetName val="СЗХ04116"/>
      <sheetName val="СЗХ04118"/>
      <sheetName val="ҮАБЗөвлөл"/>
      <sheetName val="ТЧШҮз З-гүй хөр"/>
      <sheetName val="ТЧШҮз"/>
      <sheetName val="Нэгжид Ног Зад"/>
      <sheetName val="Банкны зад"/>
      <sheetName val="Мөнгөн хөрөнгө"/>
    </sheetNames>
    <sheetDataSet>
      <sheetData sheetId="0" refreshError="1"/>
      <sheetData sheetId="1" refreshError="1"/>
      <sheetData sheetId="2" refreshError="1">
        <row r="80">
          <cell r="F80">
            <v>1927143228</v>
          </cell>
        </row>
      </sheetData>
      <sheetData sheetId="3" refreshError="1"/>
      <sheetData sheetId="4" refreshError="1">
        <row r="13">
          <cell r="E13">
            <v>3572021662.8000002</v>
          </cell>
        </row>
        <row r="14">
          <cell r="E14">
            <v>539537.30000000005</v>
          </cell>
        </row>
        <row r="15">
          <cell r="E15">
            <v>1858925595.8399999</v>
          </cell>
        </row>
        <row r="17">
          <cell r="E17">
            <v>268531309.88</v>
          </cell>
        </row>
        <row r="18">
          <cell r="E18">
            <v>545108024.28999996</v>
          </cell>
        </row>
        <row r="25">
          <cell r="E25">
            <v>777075218.44000006</v>
          </cell>
        </row>
        <row r="28">
          <cell r="E28">
            <v>6208700215.6700001</v>
          </cell>
        </row>
        <row r="29">
          <cell r="E29">
            <v>65152441.210000001</v>
          </cell>
        </row>
        <row r="30">
          <cell r="E30">
            <v>16884521.050000001</v>
          </cell>
        </row>
        <row r="52">
          <cell r="E52">
            <v>2621342269.4300003</v>
          </cell>
        </row>
        <row r="63">
          <cell r="E63">
            <v>33228395.010000002</v>
          </cell>
        </row>
        <row r="65">
          <cell r="E65">
            <v>627015863.94000006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1"/>
  <sheetViews>
    <sheetView tabSelected="1" workbookViewId="0">
      <selection activeCell="L36" sqref="L36"/>
    </sheetView>
  </sheetViews>
  <sheetFormatPr defaultRowHeight="15"/>
  <cols>
    <col min="1" max="1" width="3.85546875" style="1" customWidth="1"/>
    <col min="2" max="2" width="47.140625" style="1" customWidth="1"/>
    <col min="3" max="3" width="14.85546875" style="1" customWidth="1"/>
    <col min="4" max="4" width="13.85546875" style="1" customWidth="1"/>
    <col min="5" max="16384" width="9.140625" style="1"/>
  </cols>
  <sheetData>
    <row r="2" spans="2:4">
      <c r="B2" s="36" t="s">
        <v>40</v>
      </c>
      <c r="C2" s="36"/>
      <c r="D2" s="36"/>
    </row>
    <row r="3" spans="2:4" ht="30" customHeight="1">
      <c r="B3" s="37" t="s">
        <v>48</v>
      </c>
      <c r="C3" s="37"/>
      <c r="D3" s="37"/>
    </row>
    <row r="5" spans="2:4">
      <c r="C5" s="13">
        <v>44469</v>
      </c>
      <c r="D5" s="13">
        <v>44196</v>
      </c>
    </row>
    <row r="6" spans="2:4">
      <c r="C6" s="7" t="s">
        <v>1</v>
      </c>
      <c r="D6" s="7" t="s">
        <v>1</v>
      </c>
    </row>
    <row r="7" spans="2:4">
      <c r="C7" s="7"/>
      <c r="D7" s="7"/>
    </row>
    <row r="8" spans="2:4" s="2" customFormat="1" ht="14.25">
      <c r="B8" s="2" t="s">
        <v>0</v>
      </c>
    </row>
    <row r="9" spans="2:4" s="2" customFormat="1" ht="14.25">
      <c r="B9" s="2" t="s">
        <v>2</v>
      </c>
    </row>
    <row r="10" spans="2:4">
      <c r="B10" s="1" t="s">
        <v>3</v>
      </c>
      <c r="C10" s="15">
        <v>455140</v>
      </c>
      <c r="D10" s="15">
        <v>610754</v>
      </c>
    </row>
    <row r="11" spans="2:4">
      <c r="B11" s="1" t="s">
        <v>4</v>
      </c>
      <c r="C11" s="15">
        <v>444466</v>
      </c>
      <c r="D11" s="15">
        <v>511468</v>
      </c>
    </row>
    <row r="12" spans="2:4">
      <c r="B12" s="19" t="s">
        <v>41</v>
      </c>
      <c r="C12" s="20">
        <f>C10+C11</f>
        <v>899606</v>
      </c>
      <c r="D12" s="20">
        <v>1122222</v>
      </c>
    </row>
    <row r="13" spans="2:4" s="2" customFormat="1" ht="14.25">
      <c r="B13" s="2" t="s">
        <v>5</v>
      </c>
      <c r="C13" s="5"/>
      <c r="D13" s="5"/>
    </row>
    <row r="14" spans="2:4">
      <c r="B14" s="1" t="s">
        <v>6</v>
      </c>
      <c r="C14" s="16">
        <v>52075000</v>
      </c>
      <c r="D14" s="16">
        <v>52002143</v>
      </c>
    </row>
    <row r="15" spans="2:4">
      <c r="B15" s="1" t="s">
        <v>7</v>
      </c>
      <c r="C15" s="16">
        <v>648076</v>
      </c>
      <c r="D15" s="16">
        <v>494640</v>
      </c>
    </row>
    <row r="16" spans="2:4">
      <c r="B16" s="1" t="s">
        <v>8</v>
      </c>
      <c r="C16" s="16">
        <f>16689+7505+695</f>
        <v>24889</v>
      </c>
      <c r="D16" s="16">
        <v>56393</v>
      </c>
    </row>
    <row r="17" spans="2:4">
      <c r="B17" s="1" t="s">
        <v>9</v>
      </c>
      <c r="C17" s="16">
        <f>4184626</f>
        <v>4184626</v>
      </c>
      <c r="D17" s="16">
        <v>869051</v>
      </c>
    </row>
    <row r="18" spans="2:4">
      <c r="B18" s="1" t="s">
        <v>10</v>
      </c>
      <c r="C18" s="16">
        <f>4868648</f>
        <v>4868648</v>
      </c>
      <c r="D18" s="16">
        <v>694366</v>
      </c>
    </row>
    <row r="19" spans="2:4">
      <c r="B19" s="19" t="s">
        <v>42</v>
      </c>
      <c r="C19" s="20">
        <f>C14+C15+C16+C17+C18</f>
        <v>61801239</v>
      </c>
      <c r="D19" s="20">
        <v>54116593</v>
      </c>
    </row>
    <row r="20" spans="2:4">
      <c r="C20" s="6"/>
      <c r="D20" s="6"/>
    </row>
    <row r="21" spans="2:4" s="2" customFormat="1" thickBot="1">
      <c r="B21" s="2" t="s">
        <v>11</v>
      </c>
      <c r="C21" s="17">
        <f>C12+C19</f>
        <v>62700845</v>
      </c>
      <c r="D21" s="17">
        <v>55238815</v>
      </c>
    </row>
    <row r="22" spans="2:4" ht="15.75" thickTop="1">
      <c r="C22" s="4"/>
      <c r="D22" s="4"/>
    </row>
    <row r="23" spans="2:4" s="2" customFormat="1" ht="14.25">
      <c r="B23" s="2" t="s">
        <v>12</v>
      </c>
      <c r="C23" s="5"/>
      <c r="D23" s="5"/>
    </row>
    <row r="24" spans="2:4" s="2" customFormat="1" ht="14.25">
      <c r="B24" s="2" t="s">
        <v>13</v>
      </c>
      <c r="C24" s="5"/>
      <c r="D24" s="5"/>
    </row>
    <row r="25" spans="2:4">
      <c r="B25" s="1" t="s">
        <v>14</v>
      </c>
      <c r="C25" s="28">
        <v>24500000</v>
      </c>
      <c r="D25" s="28">
        <v>24500000</v>
      </c>
    </row>
    <row r="26" spans="2:4">
      <c r="B26" s="1" t="s">
        <v>15</v>
      </c>
      <c r="C26" s="28">
        <v>489264</v>
      </c>
      <c r="D26" s="28">
        <v>489264</v>
      </c>
    </row>
    <row r="27" spans="2:4">
      <c r="B27" s="1" t="s">
        <v>17</v>
      </c>
      <c r="C27" s="28">
        <v>5209107</v>
      </c>
      <c r="D27" s="28">
        <v>3365437</v>
      </c>
    </row>
    <row r="28" spans="2:4" s="2" customFormat="1" ht="14.25">
      <c r="B28" s="2" t="s">
        <v>18</v>
      </c>
      <c r="C28" s="18">
        <f>C25+C26+C27</f>
        <v>30198371</v>
      </c>
      <c r="D28" s="18">
        <f>D25+D26+D27</f>
        <v>28354701</v>
      </c>
    </row>
    <row r="29" spans="2:4" s="2" customFormat="1" ht="14.25">
      <c r="B29" s="2" t="s">
        <v>19</v>
      </c>
      <c r="C29" s="5"/>
      <c r="D29" s="5"/>
    </row>
    <row r="30" spans="2:4">
      <c r="B30" s="1" t="s">
        <v>16</v>
      </c>
      <c r="C30" s="28">
        <v>19000000</v>
      </c>
      <c r="D30" s="28">
        <v>19000000</v>
      </c>
    </row>
    <row r="31" spans="2:4">
      <c r="B31" s="1" t="s">
        <v>20</v>
      </c>
      <c r="C31" s="28">
        <f>1764887</f>
        <v>1764887</v>
      </c>
      <c r="D31" s="28">
        <f>[1]BS!$F$80/1000</f>
        <v>1927143.2279999999</v>
      </c>
    </row>
    <row r="32" spans="2:4">
      <c r="B32" s="1" t="s">
        <v>21</v>
      </c>
      <c r="C32" s="28">
        <f>4771911</f>
        <v>4771911</v>
      </c>
      <c r="D32" s="28">
        <v>4453631</v>
      </c>
    </row>
    <row r="33" spans="2:4">
      <c r="B33" s="1" t="s">
        <v>22</v>
      </c>
      <c r="C33" s="28">
        <f>2050632</f>
        <v>2050632</v>
      </c>
      <c r="D33" s="28">
        <v>1195141</v>
      </c>
    </row>
    <row r="34" spans="2:4">
      <c r="B34" s="1" t="s">
        <v>39</v>
      </c>
      <c r="C34" s="28">
        <v>0</v>
      </c>
      <c r="D34" s="28">
        <v>0</v>
      </c>
    </row>
    <row r="35" spans="2:4">
      <c r="B35" s="1" t="s">
        <v>23</v>
      </c>
      <c r="C35" s="28">
        <f>1045036+2842261</f>
        <v>3887297</v>
      </c>
      <c r="D35" s="28">
        <v>286473</v>
      </c>
    </row>
    <row r="36" spans="2:4">
      <c r="B36" s="1" t="s">
        <v>24</v>
      </c>
      <c r="C36" s="28">
        <f>1027747</f>
        <v>1027747</v>
      </c>
      <c r="D36" s="28">
        <v>21726</v>
      </c>
    </row>
    <row r="37" spans="2:4" s="2" customFormat="1" ht="14.25">
      <c r="B37" s="2" t="s">
        <v>25</v>
      </c>
      <c r="C37" s="29">
        <f>C30+C31+C32+C33+C34+C35+C36</f>
        <v>32502474</v>
      </c>
      <c r="D37" s="29">
        <f>D30+D31+D32+D33+D34+D35+D36</f>
        <v>26884114.228</v>
      </c>
    </row>
    <row r="38" spans="2:4">
      <c r="C38" s="3"/>
      <c r="D38" s="3"/>
    </row>
    <row r="39" spans="2:4" s="2" customFormat="1" thickBot="1">
      <c r="B39" s="2" t="s">
        <v>26</v>
      </c>
      <c r="C39" s="17">
        <f>C28+C37</f>
        <v>62700845</v>
      </c>
      <c r="D39" s="17">
        <f>D28+D37</f>
        <v>55238815.228</v>
      </c>
    </row>
    <row r="40" spans="2:4" ht="15.75" thickTop="1"/>
    <row r="41" spans="2:4">
      <c r="C41" s="30"/>
      <c r="D41" s="30"/>
    </row>
  </sheetData>
  <mergeCells count="2">
    <mergeCell ref="B2:D2"/>
    <mergeCell ref="B3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7"/>
  <sheetViews>
    <sheetView workbookViewId="0">
      <selection activeCell="G33" sqref="G33"/>
    </sheetView>
  </sheetViews>
  <sheetFormatPr defaultRowHeight="15"/>
  <cols>
    <col min="1" max="1" width="5" style="8" customWidth="1"/>
    <col min="2" max="2" width="50.5703125" style="8" customWidth="1"/>
    <col min="3" max="3" width="13.7109375" style="8" customWidth="1"/>
    <col min="4" max="4" width="14.42578125" style="8" customWidth="1"/>
    <col min="5" max="16384" width="9.140625" style="8"/>
  </cols>
  <sheetData>
    <row r="2" spans="2:4" s="9" customFormat="1" ht="14.25">
      <c r="B2" s="38" t="s">
        <v>40</v>
      </c>
      <c r="C2" s="38"/>
      <c r="D2" s="38"/>
    </row>
    <row r="3" spans="2:4" s="9" customFormat="1" ht="46.5" customHeight="1">
      <c r="B3" s="39" t="s">
        <v>49</v>
      </c>
      <c r="C3" s="39"/>
      <c r="D3" s="39"/>
    </row>
    <row r="5" spans="2:4">
      <c r="C5" s="14">
        <v>44469</v>
      </c>
      <c r="D5" s="14">
        <v>44196</v>
      </c>
    </row>
    <row r="6" spans="2:4">
      <c r="C6" s="35" t="s">
        <v>47</v>
      </c>
      <c r="D6" s="35" t="s">
        <v>47</v>
      </c>
    </row>
    <row r="7" spans="2:4">
      <c r="C7" s="12"/>
      <c r="D7" s="12"/>
    </row>
    <row r="8" spans="2:4" s="9" customFormat="1" ht="14.25">
      <c r="B8" s="9" t="s">
        <v>27</v>
      </c>
      <c r="C8" s="21">
        <f>3542592</f>
        <v>3542592</v>
      </c>
      <c r="D8" s="21">
        <f>'[1]Orlogiin tailan'!$E$13/1000</f>
        <v>3572021.6628</v>
      </c>
    </row>
    <row r="9" spans="2:4" ht="15.75" thickBot="1">
      <c r="B9" s="8" t="s">
        <v>43</v>
      </c>
      <c r="C9" s="27">
        <f>37244+1767432</f>
        <v>1804676</v>
      </c>
      <c r="D9" s="24">
        <f>('[1]Orlogiin tailan'!$E$14+'[1]Orlogiin tailan'!$E$15)/1000</f>
        <v>1859465.1331399998</v>
      </c>
    </row>
    <row r="10" spans="2:4" s="9" customFormat="1" ht="14.25">
      <c r="B10" s="9" t="s">
        <v>28</v>
      </c>
      <c r="C10" s="23">
        <f>C8-C9</f>
        <v>1737916</v>
      </c>
      <c r="D10" s="23">
        <f>D8-D9</f>
        <v>1712556.5296600002</v>
      </c>
    </row>
    <row r="11" spans="2:4" s="9" customFormat="1" ht="16.5" customHeight="1">
      <c r="B11" s="34" t="s">
        <v>44</v>
      </c>
      <c r="C11" s="25">
        <f>855491</f>
        <v>855491</v>
      </c>
      <c r="D11" s="31">
        <f>'[1]Orlogiin tailan'!$E$17/1000</f>
        <v>268531.30988000002</v>
      </c>
    </row>
    <row r="12" spans="2:4">
      <c r="B12" s="34" t="s">
        <v>45</v>
      </c>
      <c r="C12" s="33">
        <f>153436</f>
        <v>153436</v>
      </c>
      <c r="D12" s="32">
        <f>'[1]Orlogiin tailan'!$E$18/1000</f>
        <v>545108.02428999997</v>
      </c>
    </row>
    <row r="13" spans="2:4">
      <c r="B13" s="9" t="s">
        <v>38</v>
      </c>
      <c r="C13" s="23">
        <f>C10-C11+C12</f>
        <v>1035861</v>
      </c>
      <c r="D13" s="23">
        <f>D10-D11-D12</f>
        <v>898917.19549000019</v>
      </c>
    </row>
    <row r="14" spans="2:4">
      <c r="C14" s="11"/>
      <c r="D14" s="10"/>
    </row>
    <row r="15" spans="2:4">
      <c r="B15" s="8" t="s">
        <v>29</v>
      </c>
      <c r="C15" s="22">
        <f>860410</f>
        <v>860410</v>
      </c>
      <c r="D15" s="22"/>
    </row>
    <row r="16" spans="2:4" ht="15.75" thickBot="1">
      <c r="B16" s="8" t="s">
        <v>30</v>
      </c>
      <c r="C16" s="24">
        <f>318280</f>
        <v>318280</v>
      </c>
      <c r="D16" s="24">
        <f>'[1]Orlogiin tailan'!$E$25/1000</f>
        <v>777075.21844000008</v>
      </c>
    </row>
    <row r="17" spans="2:4" s="9" customFormat="1" ht="14.25">
      <c r="B17" s="9" t="s">
        <v>31</v>
      </c>
      <c r="C17" s="21">
        <f>C15+C16</f>
        <v>1178690</v>
      </c>
      <c r="D17" s="21">
        <f>D16</f>
        <v>777075.21844000008</v>
      </c>
    </row>
    <row r="18" spans="2:4">
      <c r="C18" s="10"/>
      <c r="D18" s="10"/>
    </row>
    <row r="19" spans="2:4">
      <c r="B19" s="8" t="s">
        <v>32</v>
      </c>
      <c r="C19" s="22">
        <f>4189713</f>
        <v>4189713</v>
      </c>
      <c r="D19" s="22">
        <f>'[1]Orlogiin tailan'!$E$28/1000</f>
        <v>6208700.2156699998</v>
      </c>
    </row>
    <row r="20" spans="2:4">
      <c r="B20" s="8" t="s">
        <v>33</v>
      </c>
      <c r="C20" s="22">
        <f>423967</f>
        <v>423967</v>
      </c>
      <c r="D20" s="22">
        <f>('[1]Orlogiin tailan'!$E$29+'[1]Orlogiin tailan'!$E$30)/1000</f>
        <v>82036.96226</v>
      </c>
    </row>
    <row r="21" spans="2:4">
      <c r="C21" s="10"/>
      <c r="D21" s="10"/>
    </row>
    <row r="22" spans="2:4">
      <c r="B22" s="8" t="s">
        <v>34</v>
      </c>
      <c r="C22" s="22">
        <v>1765581</v>
      </c>
      <c r="D22" s="22">
        <f>'[1]Orlogiin tailan'!$E$52/1000</f>
        <v>2621342.2694300003</v>
      </c>
    </row>
    <row r="23" spans="2:4" ht="15.75" thickBot="1">
      <c r="B23" s="8" t="s">
        <v>46</v>
      </c>
      <c r="C23" s="24">
        <v>416278</v>
      </c>
      <c r="D23" s="24">
        <f>'[1]Orlogiin tailan'!$E$63/1000</f>
        <v>33228.39501</v>
      </c>
    </row>
    <row r="24" spans="2:4" s="9" customFormat="1" ht="14.25">
      <c r="B24" s="9" t="s">
        <v>35</v>
      </c>
      <c r="C24" s="21">
        <f>C13-C17+C19+C20-C22-C23</f>
        <v>2288992</v>
      </c>
      <c r="D24" s="21">
        <f>D13-D17+D19+D20-D22+D23</f>
        <v>3824465.2805599999</v>
      </c>
    </row>
    <row r="25" spans="2:4" ht="15.75" thickBot="1">
      <c r="B25" s="8" t="s">
        <v>36</v>
      </c>
      <c r="C25" s="24">
        <v>418971</v>
      </c>
      <c r="D25" s="24">
        <f>'[1]Orlogiin tailan'!$E$65/1000</f>
        <v>627015.86394000007</v>
      </c>
    </row>
    <row r="26" spans="2:4" s="9" customFormat="1" thickBot="1">
      <c r="B26" s="9" t="s">
        <v>37</v>
      </c>
      <c r="C26" s="26">
        <f>C24-C25</f>
        <v>1870021</v>
      </c>
      <c r="D26" s="26">
        <f>D24-D25</f>
        <v>3197449.4166199998</v>
      </c>
    </row>
    <row r="27" spans="2:4" ht="15.75" thickTop="1"/>
  </sheetData>
  <mergeCells count="2">
    <mergeCell ref="B2:D2"/>
    <mergeCell ref="B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BS</vt:lpstr>
      <vt:lpstr>Incom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Soronzonbold</dc:creator>
  <cp:lastModifiedBy>User</cp:lastModifiedBy>
  <dcterms:created xsi:type="dcterms:W3CDTF">2018-03-28T00:28:27Z</dcterms:created>
  <dcterms:modified xsi:type="dcterms:W3CDTF">2021-10-13T03:38:41Z</dcterms:modified>
</cp:coreProperties>
</file>